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Calculations" sheetId="1" r:id="rId1"/>
    <sheet name="Downtime Estimates" sheetId="2" r:id="rId2"/>
  </sheets>
  <definedNames>
    <definedName name="AcqCost">'Calculations'!$C$43</definedName>
    <definedName name="AcqCostDAS">'Calculations'!$C$43</definedName>
    <definedName name="AcqCostNAS">'Calculations'!$C$45</definedName>
    <definedName name="AcqCostPort">'Calculations'!$C$57</definedName>
    <definedName name="AcqCostSAN">'Calculations'!$C$44</definedName>
    <definedName name="AllocationEfficiency">'Calculations'!#REF!</definedName>
    <definedName name="AllUtil">'Calculations'!$C$62</definedName>
    <definedName name="AllUtilDAS">'Calculations'!$C$64</definedName>
    <definedName name="AllUtilNAS">'Calculations'!$C$66</definedName>
    <definedName name="AllUtilSAN">'Calculations'!$C$62</definedName>
    <definedName name="AvgCostDisk">'Calculations'!#REF!</definedName>
    <definedName name="AvgCostTape">'Calculations'!#REF!</definedName>
    <definedName name="AvgHBA">'Calculations'!$C$83</definedName>
    <definedName name="AvgTOE">'Calculations'!$C$84</definedName>
    <definedName name="AvgXaction">'Calculations'!$C$94</definedName>
    <definedName name="BkupCapital">'Calculations'!$C$99</definedName>
    <definedName name="BkupDepex">'Calculations'!$C$100</definedName>
    <definedName name="BkupMultiplier">'Calculations'!#REF!</definedName>
    <definedName name="CostDowntime">'Calculations'!$C$95</definedName>
    <definedName name="CostNetInfra">'Calculations'!$C$108</definedName>
    <definedName name="CostTape">'Calculations'!$C$101</definedName>
    <definedName name="CostVirt">'Calculations'!$C$17</definedName>
    <definedName name="DepexSched">'Calculations'!$C$3</definedName>
    <definedName name="EstDCTile">'Calculations'!$C$88</definedName>
    <definedName name="HourRate">'Calculations'!$C$24</definedName>
    <definedName name="MMCHW">'Calculations'!$C$75</definedName>
    <definedName name="MMCSW">'Calculations'!$C$74</definedName>
    <definedName name="MMCSwitch">'Calculations'!#REF!</definedName>
    <definedName name="No16">'Calculations'!#REF!</definedName>
    <definedName name="No32">'Calculations'!#REF!</definedName>
    <definedName name="NoContract">'Calculations'!$C$23</definedName>
    <definedName name="NoDAS">'Calculations'!#REF!</definedName>
    <definedName name="NoDir">'Calculations'!#REF!</definedName>
    <definedName name="NoEmployees">'Calculations'!$C$15</definedName>
    <definedName name="NoHBAs">'Calculations'!$C$81</definedName>
    <definedName name="NoHours">'Calculations'!$C$25</definedName>
    <definedName name="NoSAN">'Calculations'!#REF!</definedName>
    <definedName name="NoTape">'Calculations'!$C$102</definedName>
    <definedName name="NoTiles">'Calculations'!$C$89</definedName>
    <definedName name="NoTOEs">'Calculations'!$C$82</definedName>
    <definedName name="NoVirtual">'Calculations'!$C$18</definedName>
    <definedName name="NoXaction">'Calculations'!$C$93</definedName>
    <definedName name="Offsite">'Calculations'!$C$104</definedName>
    <definedName name="OneSalary">'Calculations'!$C$13</definedName>
    <definedName name="OTHours">'Calculations'!$C$28</definedName>
    <definedName name="OTRate">'Calculations'!$C$27</definedName>
    <definedName name="PctDAS">'Calculations'!$C$41</definedName>
    <definedName name="PctDisk">'Calculations'!#REF!</definedName>
    <definedName name="PctNetworkInfra">'Calculations'!$C$110</definedName>
    <definedName name="PctSAN">'Calculations'!$C$40</definedName>
    <definedName name="PctTape">'Calculations'!#REF!</definedName>
    <definedName name="PctVirt">'Calculations'!$C$19</definedName>
    <definedName name="RetentionFactor">'Calculations'!#REF!</definedName>
    <definedName name="SizeDAS">'Calculations'!#REF!</definedName>
    <definedName name="SizeSAN">'Calculations'!#REF!</definedName>
    <definedName name="TotAcqCostUser">'Calculations'!$C$51</definedName>
    <definedName name="TotalBkupCost">'Calculations'!$C$105</definedName>
    <definedName name="TotalDownTime">'Calculations'!$C$96</definedName>
    <definedName name="TotGBDAS">'Calculations'!$C$34</definedName>
    <definedName name="TotGBNAS">'Calculations'!$C$38</definedName>
    <definedName name="TotGBSAN">'Calculations'!$C$36</definedName>
    <definedName name="TotISLs">'Calculations'!$C$56</definedName>
    <definedName name="TotMaintUser">'Calculations'!$C$77</definedName>
    <definedName name="TotPorts">'Calculations'!$C$55</definedName>
    <definedName name="TotTapeBkup">'Calculations'!$C$103</definedName>
    <definedName name="Training">'Calculations'!$C$14</definedName>
    <definedName name="userDAS">#REF!</definedName>
    <definedName name="userNAS">#REF!</definedName>
    <definedName name="userSAN">#REF!</definedName>
    <definedName name="UtilEfficiency">'Calculations'!$C$63</definedName>
    <definedName name="UtilEfficiencyDAS">'Calculations'!$C$65</definedName>
    <definedName name="UtilEfficiencyNAS">'Calculations'!$C$67</definedName>
    <definedName name="UtilEfficNAS">'Calculations'!$A$68</definedName>
    <definedName name="UtilizationEfficiency">'Calculations'!#REF!</definedName>
    <definedName name="VirtTime">'Calculations'!$C$19</definedName>
    <definedName name="WACC">'Calculations'!#REF!</definedName>
  </definedNames>
  <calcPr fullCalcOnLoad="1"/>
</workbook>
</file>

<file path=xl/comments1.xml><?xml version="1.0" encoding="utf-8"?>
<comments xmlns="http://schemas.openxmlformats.org/spreadsheetml/2006/main">
  <authors>
    <author>William Williams</author>
  </authors>
  <commentList>
    <comment ref="A12" authorId="0">
      <text>
        <r>
          <rPr>
            <b/>
            <sz val="12"/>
            <rFont val="Tahoma"/>
            <family val="2"/>
          </rPr>
          <t>William Williams:</t>
        </r>
        <r>
          <rPr>
            <sz val="12"/>
            <rFont val="Tahoma"/>
            <family val="2"/>
          </rPr>
          <t xml:space="preserve">
Here we differentiate between three types of staffers: full-time storage staff (work on nothing but storage), virtual storage employees are full-time employees who work on storage a percentage of their time, contract employees are those that do not work for your organization but are contracted from a third party.  Should include backup administrators in addition to storage administrators.</t>
        </r>
      </text>
    </comment>
    <comment ref="A24" authorId="0">
      <text>
        <r>
          <rPr>
            <b/>
            <sz val="8"/>
            <rFont val="Tahoma"/>
            <family val="0"/>
          </rPr>
          <t>William William</t>
        </r>
        <r>
          <rPr>
            <b/>
            <sz val="12"/>
            <rFont val="Tahoma"/>
            <family val="2"/>
          </rPr>
          <t>s:</t>
        </r>
        <r>
          <rPr>
            <sz val="12"/>
            <rFont val="Tahoma"/>
            <family val="2"/>
          </rPr>
          <t xml:space="preserve">
Avg. hourly rate for all storage-related contract labor.</t>
        </r>
      </text>
    </comment>
    <comment ref="A25" authorId="0">
      <text>
        <r>
          <rPr>
            <b/>
            <sz val="12"/>
            <rFont val="Tahoma"/>
            <family val="2"/>
          </rPr>
          <t>William Williams:</t>
        </r>
        <r>
          <rPr>
            <sz val="12"/>
            <rFont val="Tahoma"/>
            <family val="2"/>
          </rPr>
          <t xml:space="preserve">
Total number of contract labor hours annually.</t>
        </r>
      </text>
    </comment>
    <comment ref="A23" authorId="0">
      <text>
        <r>
          <rPr>
            <b/>
            <sz val="12"/>
            <rFont val="Tahoma"/>
            <family val="2"/>
          </rPr>
          <t>William Williams:</t>
        </r>
        <r>
          <rPr>
            <sz val="12"/>
            <rFont val="Tahoma"/>
            <family val="2"/>
          </rPr>
          <t xml:space="preserve">
Number of contract laborers performing storage-related work.</t>
        </r>
      </text>
    </comment>
    <comment ref="A13" authorId="0">
      <text>
        <r>
          <rPr>
            <b/>
            <sz val="12"/>
            <rFont val="Tahoma"/>
            <family val="2"/>
          </rPr>
          <t>William Williams:</t>
        </r>
        <r>
          <rPr>
            <sz val="12"/>
            <rFont val="Tahoma"/>
            <family val="2"/>
          </rPr>
          <t xml:space="preserve">
Includes salaries, bonuses, insurance, etc. for one year.
</t>
        </r>
      </text>
    </comment>
    <comment ref="C16" authorId="0">
      <text>
        <r>
          <rPr>
            <b/>
            <sz val="12"/>
            <rFont val="Tahoma"/>
            <family val="2"/>
          </rPr>
          <t>William Williams:</t>
        </r>
        <r>
          <rPr>
            <sz val="12"/>
            <rFont val="Tahoma"/>
            <family val="2"/>
          </rPr>
          <t xml:space="preserve">
Calculates sum of fully-burdened costs for all full-time storage employees.</t>
        </r>
      </text>
    </comment>
    <comment ref="C62" authorId="0">
      <text>
        <r>
          <rPr>
            <b/>
            <sz val="8"/>
            <rFont val="Tahoma"/>
            <family val="0"/>
          </rPr>
          <t>William Williams:</t>
        </r>
        <r>
          <rPr>
            <sz val="8"/>
            <rFont val="Tahoma"/>
            <family val="0"/>
          </rPr>
          <t xml:space="preserve">
If unsure, assume default rates as shown in column C.
</t>
        </r>
      </text>
    </comment>
    <comment ref="A119" authorId="0">
      <text>
        <r>
          <rPr>
            <b/>
            <sz val="8"/>
            <rFont val="Tahoma"/>
            <family val="0"/>
          </rPr>
          <t>William Williams:</t>
        </r>
        <r>
          <rPr>
            <sz val="8"/>
            <rFont val="Tahoma"/>
            <family val="0"/>
          </rPr>
          <t xml:space="preserve">
Includes labor, utilization efficiencies, host, FC, facilities, network infrastructure utilization, backups, downtime.
</t>
        </r>
      </text>
    </comment>
    <comment ref="A92" authorId="0">
      <text>
        <r>
          <rPr>
            <b/>
            <sz val="12"/>
            <rFont val="Tahoma"/>
            <family val="2"/>
          </rPr>
          <t>William Williams:</t>
        </r>
        <r>
          <rPr>
            <sz val="12"/>
            <rFont val="Tahoma"/>
            <family val="2"/>
          </rPr>
          <t xml:space="preserve">
Cost of downtime for external facing applications or cost of lost productivity.</t>
        </r>
      </text>
    </comment>
    <comment ref="A95" authorId="0">
      <text>
        <r>
          <rPr>
            <b/>
            <sz val="12"/>
            <rFont val="Tahoma"/>
            <family val="2"/>
          </rPr>
          <t>William Williams:</t>
        </r>
        <r>
          <rPr>
            <sz val="12"/>
            <rFont val="Tahoma"/>
            <family val="2"/>
          </rPr>
          <t xml:space="preserve">
Assume 100 e-commerce transactions per hour averaging $1000 each.</t>
        </r>
      </text>
    </comment>
    <comment ref="A62" authorId="0">
      <text>
        <r>
          <rPr>
            <b/>
            <sz val="12"/>
            <rFont val="Tahoma"/>
            <family val="2"/>
          </rPr>
          <t>William Williams:</t>
        </r>
        <r>
          <rPr>
            <sz val="12"/>
            <rFont val="Tahoma"/>
            <family val="2"/>
          </rPr>
          <t xml:space="preserve">
Includes a factor for RAID or Mirroring as appropriate. Ie. If a frame is 90% utilized it does not matter if it is mirrored or RAID, utilized storage is the total raw x the utilization factor. In other words,  a 3TB frame configured as mirrored storage and at 90% utilization provides 2.7TB regardless if the application or host only sees 1.35TB.</t>
        </r>
      </text>
    </comment>
    <comment ref="A99" authorId="0">
      <text>
        <r>
          <rPr>
            <b/>
            <sz val="12"/>
            <rFont val="Tahoma"/>
            <family val="2"/>
          </rPr>
          <t>William Williams:</t>
        </r>
        <r>
          <rPr>
            <sz val="12"/>
            <rFont val="Tahoma"/>
            <family val="2"/>
          </rPr>
          <t xml:space="preserve">
(tape libraries, silos, media servers, etc.)</t>
        </r>
      </text>
    </comment>
    <comment ref="A49" authorId="0">
      <text>
        <r>
          <rPr>
            <b/>
            <sz val="12"/>
            <rFont val="Tahoma"/>
            <family val="2"/>
          </rPr>
          <t>William Williams:</t>
        </r>
        <r>
          <rPr>
            <sz val="12"/>
            <rFont val="Tahoma"/>
            <family val="2"/>
          </rPr>
          <t xml:space="preserve">
Manually override total storage values.</t>
        </r>
      </text>
    </comment>
    <comment ref="A73" authorId="0">
      <text>
        <r>
          <rPr>
            <b/>
            <sz val="8"/>
            <rFont val="Tahoma"/>
            <family val="0"/>
          </rPr>
          <t>William Williams: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If no maintenance compoents, leave blank.</t>
        </r>
      </text>
    </comment>
    <comment ref="A34" authorId="0">
      <text>
        <r>
          <rPr>
            <b/>
            <sz val="8"/>
            <rFont val="Tahoma"/>
            <family val="0"/>
          </rPr>
          <t>William Williams:</t>
        </r>
        <r>
          <rPr>
            <sz val="8"/>
            <rFont val="Tahoma"/>
            <family val="0"/>
          </rPr>
          <t xml:space="preserve">
Manual entry of total GB DAS storage.</t>
        </r>
      </text>
    </comment>
    <comment ref="A51" authorId="0">
      <text>
        <r>
          <rPr>
            <b/>
            <sz val="8"/>
            <rFont val="Tahoma"/>
            <family val="0"/>
          </rPr>
          <t>William Williams: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Override Manually or calculate in B50.</t>
        </r>
      </text>
    </comment>
    <comment ref="A43" authorId="0">
      <text>
        <r>
          <rPr>
            <b/>
            <sz val="12"/>
            <rFont val="Tahoma"/>
            <family val="2"/>
          </rPr>
          <t>William Williams:</t>
        </r>
        <r>
          <rPr>
            <sz val="12"/>
            <rFont val="Tahoma"/>
            <family val="2"/>
          </rPr>
          <t xml:space="preserve">
If includes Maintenance, disregard "Maintenance Components" below.</t>
        </r>
      </text>
    </comment>
    <comment ref="A44" authorId="0">
      <text>
        <r>
          <rPr>
            <b/>
            <sz val="12"/>
            <rFont val="Tahoma"/>
            <family val="2"/>
          </rPr>
          <t>William Williams:</t>
        </r>
        <r>
          <rPr>
            <sz val="12"/>
            <rFont val="Tahoma"/>
            <family val="2"/>
          </rPr>
          <t xml:space="preserve">
If includes Maintenance, disregard "Maintenance Components" below.</t>
        </r>
      </text>
    </comment>
    <comment ref="A45" authorId="0">
      <text>
        <r>
          <rPr>
            <b/>
            <sz val="12"/>
            <rFont val="Tahoma"/>
            <family val="2"/>
          </rPr>
          <t>William Williams:</t>
        </r>
        <r>
          <rPr>
            <sz val="12"/>
            <rFont val="Tahoma"/>
            <family val="2"/>
          </rPr>
          <t xml:space="preserve">
If includes Maintenance, disregard "Maintenance Components" below.</t>
        </r>
      </text>
    </comment>
    <comment ref="A77" authorId="0">
      <text>
        <r>
          <rPr>
            <b/>
            <sz val="8"/>
            <rFont val="Tahoma"/>
            <family val="0"/>
          </rPr>
          <t>William Williams:</t>
        </r>
        <r>
          <rPr>
            <sz val="8"/>
            <rFont val="Tahoma"/>
            <family val="0"/>
          </rPr>
          <t xml:space="preserve">
Override calculations to enter maintenance costs.
</t>
        </r>
      </text>
    </comment>
  </commentList>
</comments>
</file>

<file path=xl/sharedStrings.xml><?xml version="1.0" encoding="utf-8"?>
<sst xmlns="http://schemas.openxmlformats.org/spreadsheetml/2006/main" count="114" uniqueCount="112">
  <si>
    <t>Backups</t>
  </si>
  <si>
    <t>TCO Components</t>
  </si>
  <si>
    <t>Downtime</t>
  </si>
  <si>
    <t>Staffing Components</t>
  </si>
  <si>
    <t xml:space="preserve">User Input </t>
  </si>
  <si>
    <t>Number of Virtual Storage Employees</t>
  </si>
  <si>
    <t>Percentage of Time Spent on Storage by Virtual Employees</t>
  </si>
  <si>
    <t>Contract Labor</t>
  </si>
  <si>
    <t>Full Time Staff</t>
  </si>
  <si>
    <t>Number of Contract Laborers</t>
  </si>
  <si>
    <t>Number of Hours</t>
  </si>
  <si>
    <t>Hourly Rate</t>
  </si>
  <si>
    <t>Examples</t>
  </si>
  <si>
    <t>Facilities Expenses</t>
  </si>
  <si>
    <t>Overtime Rate</t>
  </si>
  <si>
    <t>Total Overtime</t>
  </si>
  <si>
    <t>Total Full-Time Staffing Cost Components</t>
  </si>
  <si>
    <t>Total Contract Labor</t>
  </si>
  <si>
    <t>Fully Burdened Cost of One Salaried Storage Employee</t>
  </si>
  <si>
    <t>Annual Training Budget per Salaried Storage Employee</t>
  </si>
  <si>
    <t>Total Fully-Burdened Cost Full-Time Storage Employees</t>
  </si>
  <si>
    <t>Overtime Hours</t>
  </si>
  <si>
    <t>Total Regular Hours</t>
  </si>
  <si>
    <t>Total Costs Virtual Employees</t>
  </si>
  <si>
    <t xml:space="preserve">Total Labor  </t>
  </si>
  <si>
    <t>Storage Components</t>
  </si>
  <si>
    <t>Maintenance Components</t>
  </si>
  <si>
    <t>Total MB SAN Attached RAID Arrays</t>
  </si>
  <si>
    <t>Utilization Factor</t>
  </si>
  <si>
    <t>Utilization Efficiency (DAS)</t>
  </si>
  <si>
    <t>Utilization Efficiency (SAN)</t>
  </si>
  <si>
    <t>Total Storage in MB</t>
  </si>
  <si>
    <t>Percentage SAN</t>
  </si>
  <si>
    <t>Percentage DAS</t>
  </si>
  <si>
    <t>Acquisition Cost Per Port</t>
  </si>
  <si>
    <t>Total Number of Ports</t>
  </si>
  <si>
    <t>Total Fully-Burdened Annual Costs - TCO</t>
  </si>
  <si>
    <t>Avg Cost of iSCSI/NICs or TOE Cards</t>
  </si>
  <si>
    <t>No. of iSCSI/NICs or TOE Cards</t>
  </si>
  <si>
    <t>Estimated Costs per Data Center Tile</t>
  </si>
  <si>
    <t>Total Number of Tiles Utilized</t>
  </si>
  <si>
    <t>Total Estimated Facilities Costs</t>
  </si>
  <si>
    <t>Hours per year</t>
  </si>
  <si>
    <t>Availability</t>
  </si>
  <si>
    <t>Minutes Downtime</t>
  </si>
  <si>
    <t>Fully Burdened Costs</t>
  </si>
  <si>
    <t>Revenue Impact</t>
  </si>
  <si>
    <t>Revenue Savings</t>
  </si>
  <si>
    <t xml:space="preserve">Percent </t>
  </si>
  <si>
    <t>Tier 1</t>
  </si>
  <si>
    <t>Tier 2</t>
  </si>
  <si>
    <t>100 transactions per hour</t>
  </si>
  <si>
    <t>$1000 per transaction</t>
  </si>
  <si>
    <t>Total</t>
  </si>
  <si>
    <t>Total Cost of Backups</t>
  </si>
  <si>
    <t>Network Infrastructure (IP Based Network)</t>
  </si>
  <si>
    <t>Total Cost of Network Infrastructure</t>
  </si>
  <si>
    <t>Percent of Network Infrastructure Utilized for Storage</t>
  </si>
  <si>
    <t>Total Cost of Network Infrastructure Utilized</t>
  </si>
  <si>
    <t xml:space="preserve">Backup Infrastructure Capital Costs </t>
  </si>
  <si>
    <t>Average Fully-Burdened Cost of Virtual Employee</t>
  </si>
  <si>
    <t>Total Storage in GB</t>
  </si>
  <si>
    <t>Total SAN Storage Utilized (MB)</t>
  </si>
  <si>
    <t>Total DAS Storage Utilized (MB)</t>
  </si>
  <si>
    <t>Total Storage Utilized (MB)</t>
  </si>
  <si>
    <t>Total Host Component Costs</t>
  </si>
  <si>
    <t>Host Component Costs</t>
  </si>
  <si>
    <t>Total Estimated Cost of Downtime - One Year</t>
  </si>
  <si>
    <t>Number of Transactions Hourly</t>
  </si>
  <si>
    <t>Avg Cost of Transaction</t>
  </si>
  <si>
    <t>Total Acquisition Costs (user entry)</t>
  </si>
  <si>
    <t>Total Annual Maintenance Charge Storage (user entry)</t>
  </si>
  <si>
    <t>Total GB SAN Attached RAID Arrays</t>
  </si>
  <si>
    <t xml:space="preserve">Total GB DAS  RAID Arrays </t>
  </si>
  <si>
    <t>Acquisition Cost Per Raw MB DAS</t>
  </si>
  <si>
    <t>Acquisition Cost Per Raw MB SAN</t>
  </si>
  <si>
    <t>Total GB NAS Storage</t>
  </si>
  <si>
    <t>Total MB NAS Storage</t>
  </si>
  <si>
    <t>Percentage NAS</t>
  </si>
  <si>
    <t>Acquisition Cost Per Raw MB NAS</t>
  </si>
  <si>
    <t>Total Acquisition Costs DAS</t>
  </si>
  <si>
    <t>Total Acquisition Costs SAN</t>
  </si>
  <si>
    <t>Total Acquisition Costs NAS</t>
  </si>
  <si>
    <t>Total MB DAS RAID Arrays</t>
  </si>
  <si>
    <t>Total Number of ISLs</t>
  </si>
  <si>
    <t>FC Switch TCO (including cost of ISLs)</t>
  </si>
  <si>
    <t>Total Switch Capex</t>
  </si>
  <si>
    <t>Total Fully -Burdened Annual Costs - TCO/MB</t>
  </si>
  <si>
    <t>Total NAS Storage Utilized (MB)</t>
  </si>
  <si>
    <t xml:space="preserve">Monthly Maintenance Charge (SW) </t>
  </si>
  <si>
    <t xml:space="preserve">Monthly Maintenance Charge (HW) </t>
  </si>
  <si>
    <t>Total Yearly Maintenance Charges</t>
  </si>
  <si>
    <t>Depex for Network Infrastructure for One Year</t>
  </si>
  <si>
    <t>Capital Depreciation Schedule</t>
  </si>
  <si>
    <t>Depex for Backup Infrastructure for One Year</t>
  </si>
  <si>
    <t>Cost of Tapes Utilized</t>
  </si>
  <si>
    <t>Number of Tapes Utilized</t>
  </si>
  <si>
    <t>Total Cost of Tape Backups</t>
  </si>
  <si>
    <t>Utilization Efficiency (NAS)</t>
  </si>
  <si>
    <t>Annual Cost of Offsite Storage</t>
  </si>
  <si>
    <t>Instructions: On this tab, fill in all required data in blue/green cells in column C. Suggestions listed to the left in column B. Items in beige will automatically be calculated.</t>
  </si>
  <si>
    <t>Click the button labeled "Start Over" to reset all values and start over. Change any one value to play with what-if scenarios.</t>
  </si>
  <si>
    <t xml:space="preserve">Cost of 15 Minutes Downtime </t>
  </si>
  <si>
    <t>Total Acquisition Costs (auto-calculate)</t>
  </si>
  <si>
    <t>Total Annual Maintenance Charges (auto-calculate)</t>
  </si>
  <si>
    <t>Allocation Efficiency (SAN)</t>
  </si>
  <si>
    <t>Allocation Efficiency (DAS)</t>
  </si>
  <si>
    <t>Allocation Efficiency (NAS)</t>
  </si>
  <si>
    <t>No. of Fibre Channel HBAs</t>
  </si>
  <si>
    <t>Avg Cost of Fibre Channel HBAs</t>
  </si>
  <si>
    <t>Number of Full-Time Salaried Storage Employees</t>
  </si>
  <si>
    <t>FibreChannel Components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</si>
</sst>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0"/>
    <numFmt numFmtId="166" formatCode="&quot;$&quot;#,##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"/>
    <numFmt numFmtId="173" formatCode="_(&quot;$&quot;* #,##0.000_);_(&quot;$&quot;* \(#,##0.000\);_(&quot;$&quot;* &quot;-&quot;???_);_(@_)"/>
    <numFmt numFmtId="174" formatCode="[$-409]dddd\,\ mmmm\ dd\,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 horizontal="right"/>
      <protection locked="0"/>
    </xf>
    <xf numFmtId="10" fontId="2" fillId="2" borderId="0" xfId="0" applyNumberFormat="1" applyFont="1" applyFill="1" applyAlignment="1" applyProtection="1">
      <alignment horizontal="right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9" fontId="2" fillId="2" borderId="0" xfId="0" applyNumberFormat="1" applyFont="1" applyFill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right"/>
      <protection/>
    </xf>
    <xf numFmtId="44" fontId="2" fillId="2" borderId="0" xfId="17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44" fontId="2" fillId="3" borderId="0" xfId="17" applyFont="1" applyFill="1" applyAlignment="1" applyProtection="1">
      <alignment horizontal="right"/>
      <protection/>
    </xf>
    <xf numFmtId="10" fontId="2" fillId="2" borderId="0" xfId="0" applyNumberFormat="1" applyFont="1" applyFill="1" applyAlignment="1" applyProtection="1">
      <alignment horizontal="right"/>
      <protection/>
    </xf>
    <xf numFmtId="38" fontId="2" fillId="2" borderId="0" xfId="0" applyNumberFormat="1" applyFont="1" applyFill="1" applyAlignment="1" applyProtection="1">
      <alignment horizontal="right"/>
      <protection/>
    </xf>
    <xf numFmtId="0" fontId="2" fillId="4" borderId="0" xfId="0" applyFont="1" applyFill="1" applyAlignment="1" applyProtection="1">
      <alignment horizontal="right"/>
      <protection/>
    </xf>
    <xf numFmtId="3" fontId="2" fillId="2" borderId="0" xfId="0" applyNumberFormat="1" applyFont="1" applyFill="1" applyAlignment="1" applyProtection="1">
      <alignment horizontal="right"/>
      <protection/>
    </xf>
    <xf numFmtId="3" fontId="2" fillId="3" borderId="0" xfId="0" applyNumberFormat="1" applyFont="1" applyFill="1" applyAlignment="1" applyProtection="1">
      <alignment horizontal="right"/>
      <protection/>
    </xf>
    <xf numFmtId="167" fontId="2" fillId="2" borderId="0" xfId="0" applyNumberFormat="1" applyFont="1" applyFill="1" applyAlignment="1" applyProtection="1">
      <alignment horizontal="right"/>
      <protection/>
    </xf>
    <xf numFmtId="10" fontId="2" fillId="4" borderId="0" xfId="0" applyNumberFormat="1" applyFont="1" applyFill="1" applyAlignment="1" applyProtection="1">
      <alignment horizontal="right"/>
      <protection/>
    </xf>
    <xf numFmtId="1" fontId="2" fillId="2" borderId="0" xfId="0" applyNumberFormat="1" applyFont="1" applyFill="1" applyAlignment="1" applyProtection="1">
      <alignment horizontal="right"/>
      <protection/>
    </xf>
    <xf numFmtId="1" fontId="2" fillId="3" borderId="0" xfId="0" applyNumberFormat="1" applyFont="1" applyFill="1" applyAlignment="1" applyProtection="1">
      <alignment horizontal="right"/>
      <protection/>
    </xf>
    <xf numFmtId="9" fontId="2" fillId="2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167" fontId="2" fillId="4" borderId="0" xfId="0" applyNumberFormat="1" applyFont="1" applyFill="1" applyAlignment="1" applyProtection="1">
      <alignment horizontal="right"/>
      <protection/>
    </xf>
    <xf numFmtId="6" fontId="2" fillId="2" borderId="0" xfId="0" applyNumberFormat="1" applyFont="1" applyFill="1" applyAlignment="1" applyProtection="1">
      <alignment horizontal="right"/>
      <protection/>
    </xf>
    <xf numFmtId="6" fontId="2" fillId="4" borderId="0" xfId="0" applyNumberFormat="1" applyFont="1" applyFill="1" applyAlignment="1" applyProtection="1">
      <alignment horizontal="right"/>
      <protection/>
    </xf>
    <xf numFmtId="165" fontId="2" fillId="4" borderId="0" xfId="0" applyNumberFormat="1" applyFont="1" applyFill="1" applyAlignment="1" applyProtection="1">
      <alignment horizontal="right"/>
      <protection/>
    </xf>
    <xf numFmtId="44" fontId="2" fillId="3" borderId="0" xfId="17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44" fontId="2" fillId="4" borderId="0" xfId="17" applyFont="1" applyFill="1" applyAlignment="1" applyProtection="1">
      <alignment horizontal="right"/>
      <protection/>
    </xf>
    <xf numFmtId="2" fontId="2" fillId="3" borderId="0" xfId="17" applyNumberFormat="1" applyFont="1" applyFill="1" applyAlignment="1" applyProtection="1">
      <alignment horizontal="right"/>
      <protection/>
    </xf>
    <xf numFmtId="0" fontId="2" fillId="4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2" fontId="0" fillId="3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0" fontId="2" fillId="2" borderId="0" xfId="0" applyNumberFormat="1" applyFont="1" applyFill="1" applyAlignment="1" applyProtection="1">
      <alignment/>
      <protection locked="0"/>
    </xf>
    <xf numFmtId="0" fontId="2" fillId="4" borderId="0" xfId="0" applyNumberFormat="1" applyFont="1" applyFill="1" applyAlignment="1" applyProtection="1">
      <alignment horizontal="right"/>
      <protection/>
    </xf>
    <xf numFmtId="0" fontId="0" fillId="4" borderId="0" xfId="0" applyFill="1" applyAlignment="1" applyProtection="1">
      <alignment horizontal="right"/>
      <protection/>
    </xf>
    <xf numFmtId="0" fontId="0" fillId="4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 horizontal="right"/>
      <protection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6" fontId="0" fillId="2" borderId="0" xfId="0" applyNumberFormat="1" applyFont="1" applyFill="1" applyAlignment="1">
      <alignment horizontal="center"/>
    </xf>
    <xf numFmtId="8" fontId="0" fillId="2" borderId="0" xfId="0" applyNumberFormat="1" applyFont="1" applyFill="1" applyAlignment="1">
      <alignment horizontal="center"/>
    </xf>
    <xf numFmtId="10" fontId="0" fillId="2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/>
    </xf>
    <xf numFmtId="4" fontId="0" fillId="2" borderId="0" xfId="0" applyNumberFormat="1" applyFill="1" applyAlignment="1" applyProtection="1">
      <alignment/>
      <protection locked="0"/>
    </xf>
    <xf numFmtId="14" fontId="9" fillId="2" borderId="0" xfId="0" applyNumberFormat="1" applyFont="1" applyFill="1" applyAlignment="1" applyProtection="1">
      <alignment/>
      <protection locked="0"/>
    </xf>
    <xf numFmtId="14" fontId="10" fillId="2" borderId="0" xfId="0" applyNumberFormat="1" applyFont="1" applyFill="1" applyAlignment="1" applyProtection="1">
      <alignment/>
      <protection locked="0"/>
    </xf>
    <xf numFmtId="6" fontId="2" fillId="2" borderId="0" xfId="17" applyNumberFormat="1" applyFont="1" applyFill="1" applyAlignment="1" applyProtection="1">
      <alignment horizontal="right"/>
      <protection/>
    </xf>
    <xf numFmtId="0" fontId="0" fillId="2" borderId="0" xfId="0" applyFont="1" applyFill="1" applyAlignment="1" applyProtection="1">
      <alignment horizontal="right"/>
      <protection/>
    </xf>
    <xf numFmtId="44" fontId="0" fillId="2" borderId="0" xfId="0" applyNumberFormat="1" applyFont="1" applyFill="1" applyAlignment="1" applyProtection="1">
      <alignment horizontal="right"/>
      <protection/>
    </xf>
    <xf numFmtId="0" fontId="0" fillId="2" borderId="0" xfId="0" applyNumberFormat="1" applyFont="1" applyFill="1" applyAlignment="1" applyProtection="1">
      <alignment horizontal="right"/>
      <protection/>
    </xf>
    <xf numFmtId="3" fontId="2" fillId="3" borderId="0" xfId="17" applyNumberFormat="1" applyFont="1" applyFill="1" applyAlignment="1" applyProtection="1">
      <alignment horizontal="right"/>
      <protection/>
    </xf>
    <xf numFmtId="0" fontId="2" fillId="3" borderId="0" xfId="0" applyFont="1" applyFill="1" applyAlignment="1" applyProtection="1">
      <alignment/>
      <protection/>
    </xf>
    <xf numFmtId="3" fontId="2" fillId="3" borderId="0" xfId="0" applyNumberFormat="1" applyFont="1" applyFill="1" applyAlignment="1" applyProtection="1">
      <alignment horizontal="right"/>
      <protection/>
    </xf>
    <xf numFmtId="44" fontId="2" fillId="3" borderId="0" xfId="0" applyNumberFormat="1" applyFont="1" applyFill="1" applyAlignment="1" applyProtection="1">
      <alignment horizontal="right"/>
      <protection/>
    </xf>
    <xf numFmtId="3" fontId="2" fillId="3" borderId="0" xfId="0" applyNumberFormat="1" applyFont="1" applyFill="1" applyAlignment="1" applyProtection="1">
      <alignment horizontal="right"/>
      <protection locked="0"/>
    </xf>
    <xf numFmtId="44" fontId="2" fillId="3" borderId="0" xfId="17" applyNumberFormat="1" applyFont="1" applyFill="1" applyAlignment="1" applyProtection="1">
      <alignment horizontal="right"/>
      <protection locked="0"/>
    </xf>
    <xf numFmtId="2" fontId="2" fillId="4" borderId="0" xfId="0" applyNumberFormat="1" applyFont="1" applyFill="1" applyAlignment="1" applyProtection="1">
      <alignment horizontal="right"/>
      <protection/>
    </xf>
    <xf numFmtId="44" fontId="2" fillId="2" borderId="0" xfId="17" applyFont="1" applyFill="1" applyAlignment="1" applyProtection="1">
      <alignment/>
      <protection/>
    </xf>
    <xf numFmtId="10" fontId="2" fillId="2" borderId="0" xfId="0" applyNumberFormat="1" applyFont="1" applyFill="1" applyAlignment="1" applyProtection="1">
      <alignment/>
      <protection/>
    </xf>
    <xf numFmtId="2" fontId="2" fillId="2" borderId="0" xfId="0" applyNumberFormat="1" applyFont="1" applyFill="1" applyAlignment="1" applyProtection="1">
      <alignment horizontal="left" vertical="top"/>
      <protection locked="0"/>
    </xf>
    <xf numFmtId="2" fontId="2" fillId="2" borderId="0" xfId="0" applyNumberFormat="1" applyFont="1" applyFill="1" applyAlignment="1">
      <alignment horizontal="left" vertical="top"/>
    </xf>
    <xf numFmtId="10" fontId="0" fillId="4" borderId="0" xfId="0" applyNumberFormat="1" applyFont="1" applyFill="1" applyAlignment="1" applyProtection="1">
      <alignment horizontal="right"/>
      <protection/>
    </xf>
    <xf numFmtId="167" fontId="2" fillId="2" borderId="0" xfId="0" applyNumberFormat="1" applyFont="1" applyFill="1" applyAlignment="1" applyProtection="1">
      <alignment/>
      <protection/>
    </xf>
    <xf numFmtId="2" fontId="2" fillId="4" borderId="0" xfId="0" applyNumberFormat="1" applyFont="1" applyFill="1" applyAlignment="1">
      <alignment horizontal="left" vertical="top"/>
    </xf>
    <xf numFmtId="173" fontId="2" fillId="4" borderId="0" xfId="17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2" borderId="0" xfId="0" applyFont="1" applyFill="1" applyAlignment="1">
      <alignment wrapText="1"/>
    </xf>
    <xf numFmtId="1" fontId="2" fillId="4" borderId="0" xfId="0" applyNumberFormat="1" applyFont="1" applyFill="1" applyAlignment="1">
      <alignment horizontal="center" vertical="top"/>
    </xf>
    <xf numFmtId="0" fontId="2" fillId="2" borderId="0" xfId="17" applyNumberFormat="1" applyFont="1" applyFill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ill>
        <patternFill>
          <bgColor rgb="FFCCFFFF"/>
        </patternFill>
      </fill>
      <border/>
    </dxf>
    <dxf>
      <font>
        <color rgb="FFCCFFFF"/>
      </font>
      <fill>
        <patternFill>
          <bgColor rgb="FFCCFFFF"/>
        </patternFill>
      </fill>
      <border/>
    </dxf>
    <dxf>
      <font>
        <color rgb="FFFFFF99"/>
      </font>
      <fill>
        <patternFill>
          <bgColor rgb="FFFFFF99"/>
        </patternFill>
      </fill>
      <border/>
    </dxf>
    <dxf>
      <font>
        <color rgb="FFCCFFFF"/>
      </font>
      <fill>
        <patternFill patternType="solid">
          <fgColor rgb="FF00FFFF"/>
          <bgColor rgb="FFCCFFFF"/>
        </patternFill>
      </fill>
      <border/>
    </dxf>
    <dxf>
      <font>
        <color rgb="FFFFFF99"/>
      </font>
      <fill>
        <patternFill patternType="solid">
          <fgColor rgb="FF00FFFF"/>
          <bgColor rgb="FFFFFF99"/>
        </patternFill>
      </fill>
      <border/>
    </dxf>
    <dxf>
      <font>
        <color rgb="FFFFFF99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20"/>
  <sheetViews>
    <sheetView tabSelected="1" zoomScale="75" zoomScaleNormal="75" workbookViewId="0" topLeftCell="A128">
      <pane xSplit="1" topLeftCell="B1" activePane="topRight" state="frozen"/>
      <selection pane="topLeft" activeCell="A1" sqref="A1"/>
      <selection pane="topRight" activeCell="A101" sqref="A101"/>
    </sheetView>
  </sheetViews>
  <sheetFormatPr defaultColWidth="9.140625" defaultRowHeight="12.75" outlineLevelRow="3"/>
  <cols>
    <col min="1" max="1" width="81.28125" style="27" bestFit="1" customWidth="1"/>
    <col min="2" max="2" width="31.7109375" style="5" bestFit="1" customWidth="1"/>
    <col min="3" max="3" width="18.57421875" style="4" customWidth="1"/>
    <col min="4" max="16384" width="9.140625" style="5" customWidth="1"/>
  </cols>
  <sheetData>
    <row r="1" spans="1:3" ht="38.25">
      <c r="A1" s="3" t="s">
        <v>100</v>
      </c>
      <c r="C1" s="68"/>
    </row>
    <row r="2" ht="12.75">
      <c r="A2" s="1"/>
    </row>
    <row r="3" spans="1:3" ht="25.5">
      <c r="A3" s="75" t="s">
        <v>101</v>
      </c>
      <c r="B3" s="72" t="s">
        <v>93</v>
      </c>
      <c r="C3" s="76">
        <v>0</v>
      </c>
    </row>
    <row r="4" ht="12.75" hidden="1">
      <c r="A4" s="2"/>
    </row>
    <row r="5" spans="1:3" ht="12.75" hidden="1">
      <c r="A5" s="2"/>
      <c r="B5" s="69"/>
      <c r="C5" s="69"/>
    </row>
    <row r="6" spans="1:3" ht="12.75" hidden="1">
      <c r="A6" s="2"/>
      <c r="B6" s="69"/>
      <c r="C6" s="69"/>
    </row>
    <row r="7" spans="1:3" ht="12.75">
      <c r="A7" s="1"/>
      <c r="B7" s="69"/>
      <c r="C7" s="69"/>
    </row>
    <row r="8" spans="1:6" ht="12.75">
      <c r="A8" s="36" t="s">
        <v>1</v>
      </c>
      <c r="B8" s="33"/>
      <c r="C8" s="36"/>
      <c r="D8" s="37"/>
      <c r="E8" s="37"/>
      <c r="F8" s="74"/>
    </row>
    <row r="9" spans="1:3" ht="12.75">
      <c r="A9" s="33"/>
      <c r="B9" s="18" t="s">
        <v>12</v>
      </c>
      <c r="C9" s="18" t="s">
        <v>4</v>
      </c>
    </row>
    <row r="10" spans="2:3" ht="12.75">
      <c r="B10" s="14"/>
      <c r="C10" s="14"/>
    </row>
    <row r="11" spans="1:3" ht="12.75">
      <c r="A11" s="36" t="s">
        <v>3</v>
      </c>
      <c r="B11" s="18"/>
      <c r="C11" s="18"/>
    </row>
    <row r="12" spans="1:3" ht="12.75" outlineLevel="1">
      <c r="A12" s="26" t="s">
        <v>8</v>
      </c>
      <c r="B12" s="12"/>
      <c r="C12" s="12"/>
    </row>
    <row r="13" spans="1:3" ht="12.75" outlineLevel="2">
      <c r="A13" s="27" t="s">
        <v>18</v>
      </c>
      <c r="B13" s="13">
        <v>100000</v>
      </c>
      <c r="C13" s="32">
        <v>0</v>
      </c>
    </row>
    <row r="14" spans="1:3" ht="12.75" outlineLevel="2">
      <c r="A14" s="27" t="s">
        <v>19</v>
      </c>
      <c r="B14" s="13">
        <v>15000</v>
      </c>
      <c r="C14" s="32">
        <v>0</v>
      </c>
    </row>
    <row r="15" spans="1:3" ht="12.75" outlineLevel="2">
      <c r="A15" s="27" t="s">
        <v>110</v>
      </c>
      <c r="B15" s="14">
        <v>5</v>
      </c>
      <c r="C15" s="8">
        <v>0</v>
      </c>
    </row>
    <row r="16" spans="1:3" ht="12.75" outlineLevel="1">
      <c r="A16" s="26" t="s">
        <v>20</v>
      </c>
      <c r="B16" s="15">
        <f>(B15*B14)+(B15*B13)</f>
        <v>575000</v>
      </c>
      <c r="C16" s="15">
        <f>(C15*C14)+(C15*C13)</f>
        <v>0</v>
      </c>
    </row>
    <row r="17" spans="1:3" ht="12.75" outlineLevel="1">
      <c r="A17" s="40" t="s">
        <v>60</v>
      </c>
      <c r="B17" s="55">
        <v>160000</v>
      </c>
      <c r="C17" s="32">
        <v>0</v>
      </c>
    </row>
    <row r="18" spans="1:3" ht="12.75" outlineLevel="1">
      <c r="A18" s="27" t="s">
        <v>5</v>
      </c>
      <c r="B18" s="14">
        <v>2</v>
      </c>
      <c r="C18" s="8">
        <v>0</v>
      </c>
    </row>
    <row r="19" spans="1:3" ht="12.75" outlineLevel="1">
      <c r="A19" s="27" t="s">
        <v>6</v>
      </c>
      <c r="B19" s="16">
        <v>0.4</v>
      </c>
      <c r="C19" s="9">
        <v>0</v>
      </c>
    </row>
    <row r="20" spans="1:3" ht="12.75" outlineLevel="1">
      <c r="A20" s="26" t="s">
        <v>23</v>
      </c>
      <c r="B20" s="15">
        <f>B18*B17*B19</f>
        <v>128000</v>
      </c>
      <c r="C20" s="15">
        <f>C17*NoVirtual*PctVirt</f>
        <v>0</v>
      </c>
    </row>
    <row r="21" spans="1:3" ht="12.75" outlineLevel="1">
      <c r="A21" s="26" t="s">
        <v>16</v>
      </c>
      <c r="B21" s="15">
        <f>SUM(B20,B16)</f>
        <v>703000</v>
      </c>
      <c r="C21" s="15">
        <f>IF(0,"",SUM(C20,C16))</f>
        <v>0</v>
      </c>
    </row>
    <row r="22" spans="1:3" ht="12.75" outlineLevel="1">
      <c r="A22" s="26" t="s">
        <v>7</v>
      </c>
      <c r="B22" s="12"/>
      <c r="C22" s="12"/>
    </row>
    <row r="23" spans="1:3" ht="12.75" outlineLevel="3">
      <c r="A23" s="27" t="s">
        <v>9</v>
      </c>
      <c r="B23" s="14">
        <v>2</v>
      </c>
      <c r="C23" s="8">
        <v>0</v>
      </c>
    </row>
    <row r="24" spans="1:3" ht="12.75" outlineLevel="3">
      <c r="A24" s="27" t="s">
        <v>11</v>
      </c>
      <c r="B24" s="13">
        <v>50</v>
      </c>
      <c r="C24" s="32">
        <v>0</v>
      </c>
    </row>
    <row r="25" spans="1:3" ht="12.75" outlineLevel="3">
      <c r="A25" s="27" t="s">
        <v>10</v>
      </c>
      <c r="B25" s="14">
        <v>120</v>
      </c>
      <c r="C25" s="8">
        <v>0</v>
      </c>
    </row>
    <row r="26" spans="1:3" ht="12.75" outlineLevel="2">
      <c r="A26" s="38" t="s">
        <v>22</v>
      </c>
      <c r="B26" s="35">
        <f>B25*B24*B23</f>
        <v>12000</v>
      </c>
      <c r="C26" s="35">
        <f>C25*C24*C23</f>
        <v>0</v>
      </c>
    </row>
    <row r="27" spans="1:3" ht="12.75" outlineLevel="3">
      <c r="A27" s="27" t="s">
        <v>14</v>
      </c>
      <c r="B27" s="13">
        <v>75</v>
      </c>
      <c r="C27" s="32">
        <v>0</v>
      </c>
    </row>
    <row r="28" spans="1:3" s="4" customFormat="1" ht="12.75" outlineLevel="3">
      <c r="A28" s="27" t="s">
        <v>21</v>
      </c>
      <c r="B28" s="17">
        <v>40</v>
      </c>
      <c r="C28" s="8">
        <v>0</v>
      </c>
    </row>
    <row r="29" spans="1:3" s="4" customFormat="1" ht="12.75" outlineLevel="2">
      <c r="A29" s="26" t="s">
        <v>15</v>
      </c>
      <c r="B29" s="15">
        <f>B28*B27</f>
        <v>3000</v>
      </c>
      <c r="C29" s="15">
        <f>C28*C27</f>
        <v>0</v>
      </c>
    </row>
    <row r="30" spans="1:3" ht="12.75" outlineLevel="1">
      <c r="A30" s="26" t="s">
        <v>17</v>
      </c>
      <c r="B30" s="15">
        <f>SUM(B26,B29)</f>
        <v>15000</v>
      </c>
      <c r="C30" s="15">
        <f>SUM(C26,C29)</f>
        <v>0</v>
      </c>
    </row>
    <row r="31" spans="1:3" ht="12.75">
      <c r="A31" s="26" t="s">
        <v>24</v>
      </c>
      <c r="B31" s="15">
        <f>IF(0,"",(SUM(B30,B21)))</f>
        <v>718000</v>
      </c>
      <c r="C31" s="15">
        <f>IF(0,"",(SUM(C30,C21)))</f>
        <v>0</v>
      </c>
    </row>
    <row r="32" spans="2:3" ht="12.75">
      <c r="B32" s="14"/>
      <c r="C32" s="14"/>
    </row>
    <row r="33" spans="1:3" ht="12.75">
      <c r="A33" s="36" t="s">
        <v>25</v>
      </c>
      <c r="B33" s="18"/>
      <c r="C33" s="18"/>
    </row>
    <row r="34" spans="1:3" ht="12.75" outlineLevel="1">
      <c r="A34" s="26" t="s">
        <v>73</v>
      </c>
      <c r="B34" s="20">
        <v>35000</v>
      </c>
      <c r="C34" s="63">
        <v>0</v>
      </c>
    </row>
    <row r="35" spans="1:3" ht="12.75" outlineLevel="1">
      <c r="A35" s="26" t="s">
        <v>83</v>
      </c>
      <c r="B35" s="20">
        <f>B34*1000</f>
        <v>35000000</v>
      </c>
      <c r="C35" s="20">
        <f>C34*1000</f>
        <v>0</v>
      </c>
    </row>
    <row r="36" spans="1:3" ht="12.75" outlineLevel="1">
      <c r="A36" s="60" t="s">
        <v>72</v>
      </c>
      <c r="B36" s="61">
        <v>35000</v>
      </c>
      <c r="C36" s="63">
        <v>0</v>
      </c>
    </row>
    <row r="37" spans="1:3" ht="12.75" outlineLevel="1">
      <c r="A37" s="26" t="s">
        <v>27</v>
      </c>
      <c r="B37" s="20">
        <f>B36*1000</f>
        <v>35000000</v>
      </c>
      <c r="C37" s="20">
        <f>C36*1000</f>
        <v>0</v>
      </c>
    </row>
    <row r="38" spans="1:3" ht="12.75" outlineLevel="1">
      <c r="A38" s="26" t="s">
        <v>76</v>
      </c>
      <c r="B38" s="20">
        <v>10000</v>
      </c>
      <c r="C38" s="63">
        <v>0</v>
      </c>
    </row>
    <row r="39" spans="1:3" ht="12.75" outlineLevel="1">
      <c r="A39" s="26" t="s">
        <v>77</v>
      </c>
      <c r="B39" s="20">
        <f>B38*1000</f>
        <v>10000000</v>
      </c>
      <c r="C39" s="20">
        <f>C38*1000</f>
        <v>0</v>
      </c>
    </row>
    <row r="40" spans="1:3" ht="12.75" outlineLevel="1">
      <c r="A40" s="33" t="s">
        <v>32</v>
      </c>
      <c r="B40" s="70">
        <f>B37/B50</f>
        <v>0.4375</v>
      </c>
      <c r="C40" s="70">
        <f>IF(ISERROR(C37/C50),"",(C37/C50))</f>
      </c>
    </row>
    <row r="41" spans="1:3" ht="12.75" outlineLevel="1">
      <c r="A41" s="33" t="s">
        <v>33</v>
      </c>
      <c r="B41" s="70">
        <f>B35/B50</f>
        <v>0.4375</v>
      </c>
      <c r="C41" s="70">
        <f>IF(ISERROR(C35/C50),"",(C35/C50))</f>
      </c>
    </row>
    <row r="42" spans="1:3" ht="12.75" outlineLevel="1">
      <c r="A42" s="33" t="s">
        <v>78</v>
      </c>
      <c r="B42" s="70">
        <f>B39/B50</f>
        <v>0.125</v>
      </c>
      <c r="C42" s="70">
        <f>IF(ISERROR(C39/C50),"",(C39/C50))</f>
      </c>
    </row>
    <row r="43" spans="1:3" ht="12.75" outlineLevel="1">
      <c r="A43" s="27" t="s">
        <v>74</v>
      </c>
      <c r="B43" s="21">
        <v>0.05</v>
      </c>
      <c r="C43" s="32">
        <v>0</v>
      </c>
    </row>
    <row r="44" spans="1:3" ht="12.75" outlineLevel="1">
      <c r="A44" s="27" t="s">
        <v>75</v>
      </c>
      <c r="B44" s="21">
        <v>0.04</v>
      </c>
      <c r="C44" s="32">
        <v>0</v>
      </c>
    </row>
    <row r="45" spans="1:3" ht="12.75" outlineLevel="1">
      <c r="A45" s="27" t="s">
        <v>79</v>
      </c>
      <c r="B45" s="21">
        <v>0.03</v>
      </c>
      <c r="C45" s="32">
        <v>0</v>
      </c>
    </row>
    <row r="46" spans="1:3" ht="12.75" outlineLevel="1">
      <c r="A46" s="26" t="s">
        <v>80</v>
      </c>
      <c r="B46" s="62">
        <f>B43*B35</f>
        <v>1750000</v>
      </c>
      <c r="C46" s="62">
        <f>(C43*C35)</f>
        <v>0</v>
      </c>
    </row>
    <row r="47" spans="1:3" ht="12.75" outlineLevel="1">
      <c r="A47" s="26" t="s">
        <v>81</v>
      </c>
      <c r="B47" s="62">
        <f>B44*B37</f>
        <v>1400000</v>
      </c>
      <c r="C47" s="62">
        <f>C44*C37</f>
        <v>0</v>
      </c>
    </row>
    <row r="48" spans="1:3" ht="12.75" outlineLevel="1">
      <c r="A48" s="26" t="s">
        <v>82</v>
      </c>
      <c r="B48" s="62">
        <f>B45*B39</f>
        <v>300000</v>
      </c>
      <c r="C48" s="62">
        <f>C45*C39</f>
        <v>0</v>
      </c>
    </row>
    <row r="49" spans="1:3" s="27" customFormat="1" ht="12.75" outlineLevel="1">
      <c r="A49" s="26" t="s">
        <v>61</v>
      </c>
      <c r="B49" s="59">
        <f>B36+B34+B38</f>
        <v>80000</v>
      </c>
      <c r="C49" s="59">
        <f>C36+C34+C38</f>
        <v>0</v>
      </c>
    </row>
    <row r="50" spans="1:3" s="27" customFormat="1" ht="12.75" outlineLevel="1">
      <c r="A50" s="26" t="s">
        <v>31</v>
      </c>
      <c r="B50" s="20">
        <f>SUM(B35,B37,B39)</f>
        <v>80000000</v>
      </c>
      <c r="C50" s="20">
        <f>SUM(C49*1000)</f>
        <v>0</v>
      </c>
    </row>
    <row r="51" spans="1:3" ht="12.75" outlineLevel="1">
      <c r="A51" s="26" t="s">
        <v>70</v>
      </c>
      <c r="B51" s="62"/>
      <c r="C51" s="15">
        <v>0</v>
      </c>
    </row>
    <row r="52" spans="1:3" ht="12.75">
      <c r="A52" s="26" t="s">
        <v>103</v>
      </c>
      <c r="B52" s="15">
        <f>IF(B51=0,SUM(B46:B48),B51)</f>
        <v>3450000</v>
      </c>
      <c r="C52" s="15">
        <f>IF(C51=0,SUM(C46:C48),C51)</f>
        <v>0</v>
      </c>
    </row>
    <row r="53" spans="2:3" ht="12.75">
      <c r="B53" s="16"/>
      <c r="C53" s="16"/>
    </row>
    <row r="54" spans="1:3" ht="12.75">
      <c r="A54" s="36" t="s">
        <v>111</v>
      </c>
      <c r="B54" s="22"/>
      <c r="C54" s="42"/>
    </row>
    <row r="55" spans="1:3" s="54" customFormat="1" ht="12.75" outlineLevel="1">
      <c r="A55" s="26" t="s">
        <v>35</v>
      </c>
      <c r="B55" s="24">
        <v>120</v>
      </c>
      <c r="C55" s="77">
        <v>0</v>
      </c>
    </row>
    <row r="56" spans="1:3" ht="12" customHeight="1" outlineLevel="1">
      <c r="A56" s="26" t="s">
        <v>84</v>
      </c>
      <c r="B56" s="24">
        <v>12</v>
      </c>
      <c r="C56" s="77">
        <v>0</v>
      </c>
    </row>
    <row r="57" spans="1:3" ht="11.25" customHeight="1" outlineLevel="1">
      <c r="A57" s="27" t="s">
        <v>34</v>
      </c>
      <c r="B57" s="13">
        <v>1000</v>
      </c>
      <c r="C57" s="32">
        <v>0</v>
      </c>
    </row>
    <row r="58" spans="1:3" s="54" customFormat="1" ht="12.75" outlineLevel="1">
      <c r="A58" s="27" t="s">
        <v>86</v>
      </c>
      <c r="B58" s="13">
        <f>IF(C3=0,SUM(B55*B57),((B55*B57)/DepexSched))</f>
        <v>120000</v>
      </c>
      <c r="C58" s="13">
        <f>IF(DepexSched=0,SUM(C55*C57),((C55*C57)/DepexSched))</f>
        <v>0</v>
      </c>
    </row>
    <row r="59" spans="1:3" s="4" customFormat="1" ht="12.75">
      <c r="A59" s="26" t="s">
        <v>85</v>
      </c>
      <c r="B59" s="15">
        <f>B58*(1+(B56/B55))</f>
        <v>132000</v>
      </c>
      <c r="C59" s="15">
        <f>IF(ISERROR(C56/C55),"",(C58*(1+(C56/C55))))</f>
      </c>
    </row>
    <row r="60" spans="2:3" ht="12.75">
      <c r="B60" s="16"/>
      <c r="C60" s="9"/>
    </row>
    <row r="61" spans="1:3" ht="12" customHeight="1">
      <c r="A61" s="36" t="s">
        <v>28</v>
      </c>
      <c r="B61" s="18"/>
      <c r="C61" s="18"/>
    </row>
    <row r="62" spans="1:3" ht="12.75" outlineLevel="1">
      <c r="A62" s="27" t="s">
        <v>105</v>
      </c>
      <c r="B62" s="25">
        <v>0.6</v>
      </c>
      <c r="C62" s="11">
        <v>0</v>
      </c>
    </row>
    <row r="63" spans="1:3" s="54" customFormat="1" ht="12.75" outlineLevel="1">
      <c r="A63" s="27" t="s">
        <v>30</v>
      </c>
      <c r="B63" s="25">
        <v>0.4</v>
      </c>
      <c r="C63" s="11">
        <v>0</v>
      </c>
    </row>
    <row r="64" spans="1:3" s="53" customFormat="1" ht="12.75" outlineLevel="1">
      <c r="A64" s="27" t="s">
        <v>106</v>
      </c>
      <c r="B64" s="25">
        <v>0.3</v>
      </c>
      <c r="C64" s="11">
        <v>0</v>
      </c>
    </row>
    <row r="65" spans="1:3" ht="12.75" outlineLevel="1">
      <c r="A65" s="27" t="s">
        <v>29</v>
      </c>
      <c r="B65" s="25">
        <v>0.2</v>
      </c>
      <c r="C65" s="11">
        <v>0</v>
      </c>
    </row>
    <row r="66" spans="1:3" ht="12.75" outlineLevel="1">
      <c r="A66" s="27" t="s">
        <v>107</v>
      </c>
      <c r="B66" s="25">
        <v>0.9</v>
      </c>
      <c r="C66" s="11">
        <v>0</v>
      </c>
    </row>
    <row r="67" spans="1:3" ht="12.75" outlineLevel="1">
      <c r="A67" s="27" t="s">
        <v>98</v>
      </c>
      <c r="B67" s="25">
        <v>0.8</v>
      </c>
      <c r="C67" s="11">
        <v>0</v>
      </c>
    </row>
    <row r="68" spans="1:3" ht="12.75" outlineLevel="1">
      <c r="A68" s="39" t="s">
        <v>63</v>
      </c>
      <c r="B68" s="20">
        <f>B35*B62*B63</f>
        <v>8400000</v>
      </c>
      <c r="C68" s="20">
        <f>C35*C62*C63</f>
        <v>0</v>
      </c>
    </row>
    <row r="69" spans="1:3" ht="12.75" outlineLevel="1">
      <c r="A69" s="39" t="s">
        <v>62</v>
      </c>
      <c r="B69" s="20">
        <f>B37*B64*B65</f>
        <v>2100000</v>
      </c>
      <c r="C69" s="20">
        <f>C37*C64*C65</f>
        <v>0</v>
      </c>
    </row>
    <row r="70" spans="1:3" ht="12.75" outlineLevel="1">
      <c r="A70" s="39" t="s">
        <v>88</v>
      </c>
      <c r="B70" s="20">
        <f>B39*B66*B67</f>
        <v>7200000</v>
      </c>
      <c r="C70" s="20">
        <f>C39*C66*C67</f>
        <v>0</v>
      </c>
    </row>
    <row r="71" spans="1:3" ht="12.75">
      <c r="A71" s="26" t="s">
        <v>64</v>
      </c>
      <c r="B71" s="20">
        <f>SUM(B68:B70)</f>
        <v>17700000</v>
      </c>
      <c r="C71" s="20">
        <f>SUM(C68:C70)</f>
        <v>0</v>
      </c>
    </row>
    <row r="72" spans="2:3" ht="12.75">
      <c r="B72" s="19"/>
      <c r="C72" s="19"/>
    </row>
    <row r="73" spans="1:3" ht="12.75">
      <c r="A73" s="36" t="s">
        <v>26</v>
      </c>
      <c r="B73" s="36"/>
      <c r="C73" s="33"/>
    </row>
    <row r="74" spans="1:3" s="4" customFormat="1" ht="12.75" outlineLevel="1">
      <c r="A74" s="27" t="s">
        <v>89</v>
      </c>
      <c r="B74" s="13">
        <v>3000</v>
      </c>
      <c r="C74" s="32">
        <v>0</v>
      </c>
    </row>
    <row r="75" spans="1:3" ht="12.75" outlineLevel="1">
      <c r="A75" s="27" t="s">
        <v>90</v>
      </c>
      <c r="B75" s="13">
        <v>3000</v>
      </c>
      <c r="C75" s="32">
        <v>0</v>
      </c>
    </row>
    <row r="76" spans="1:3" ht="12.75" outlineLevel="1">
      <c r="A76" s="27" t="s">
        <v>91</v>
      </c>
      <c r="B76" s="13">
        <f>SUM(B74:B75)*12</f>
        <v>72000</v>
      </c>
      <c r="C76" s="13">
        <f>SUM(C74:C75)*12</f>
        <v>0</v>
      </c>
    </row>
    <row r="77" spans="1:3" ht="12.75" outlineLevel="1">
      <c r="A77" s="6" t="s">
        <v>71</v>
      </c>
      <c r="B77" s="64"/>
      <c r="C77" s="32">
        <v>0</v>
      </c>
    </row>
    <row r="78" spans="1:3" ht="12.75">
      <c r="A78" s="26" t="s">
        <v>104</v>
      </c>
      <c r="B78" s="15">
        <f>IF((B77=0),B76,(B77))</f>
        <v>72000</v>
      </c>
      <c r="C78" s="15">
        <f>IF((C77=0),C76,(C77))</f>
        <v>0</v>
      </c>
    </row>
    <row r="79" spans="2:3" ht="12.75">
      <c r="B79" s="27"/>
      <c r="C79" s="27"/>
    </row>
    <row r="80" spans="1:3" ht="12.75">
      <c r="A80" s="36" t="s">
        <v>66</v>
      </c>
      <c r="B80" s="18"/>
      <c r="C80" s="43"/>
    </row>
    <row r="81" spans="1:3" ht="12.75" outlineLevel="1">
      <c r="A81" s="27" t="s">
        <v>108</v>
      </c>
      <c r="B81" s="23">
        <v>300</v>
      </c>
      <c r="C81" s="10">
        <v>0</v>
      </c>
    </row>
    <row r="82" spans="1:3" ht="12.75" outlineLevel="1">
      <c r="A82" s="27" t="s">
        <v>38</v>
      </c>
      <c r="B82" s="23">
        <v>100</v>
      </c>
      <c r="C82" s="10">
        <v>0</v>
      </c>
    </row>
    <row r="83" spans="1:3" ht="12.75" outlineLevel="1">
      <c r="A83" s="27" t="s">
        <v>109</v>
      </c>
      <c r="B83" s="13">
        <v>1000</v>
      </c>
      <c r="C83" s="32">
        <v>0</v>
      </c>
    </row>
    <row r="84" spans="1:3" ht="12.75" outlineLevel="1">
      <c r="A84" s="27" t="s">
        <v>37</v>
      </c>
      <c r="B84" s="13">
        <v>500</v>
      </c>
      <c r="C84" s="32">
        <v>0</v>
      </c>
    </row>
    <row r="85" spans="1:3" ht="12.75">
      <c r="A85" s="26" t="s">
        <v>65</v>
      </c>
      <c r="B85" s="15">
        <f>SUM(B81*B83)+(B82*B84)</f>
        <v>350000</v>
      </c>
      <c r="C85" s="15">
        <f>SUM(C81*C83)+(C82*C84)</f>
        <v>0</v>
      </c>
    </row>
    <row r="86" spans="1:3" s="7" customFormat="1" ht="12.75">
      <c r="A86" s="27"/>
      <c r="B86" s="21"/>
      <c r="C86" s="45"/>
    </row>
    <row r="87" spans="1:3" ht="12.75">
      <c r="A87" s="36" t="s">
        <v>13</v>
      </c>
      <c r="B87" s="28"/>
      <c r="C87" s="44"/>
    </row>
    <row r="88" spans="1:3" ht="12.75" outlineLevel="1">
      <c r="A88" s="40" t="s">
        <v>39</v>
      </c>
      <c r="B88" s="13">
        <v>3000</v>
      </c>
      <c r="C88" s="32">
        <v>0</v>
      </c>
    </row>
    <row r="89" spans="1:3" ht="12.75" outlineLevel="1">
      <c r="A89" s="27" t="s">
        <v>40</v>
      </c>
      <c r="B89" s="14">
        <v>40</v>
      </c>
      <c r="C89" s="14">
        <v>0</v>
      </c>
    </row>
    <row r="90" spans="1:3" ht="12.75">
      <c r="A90" s="26" t="s">
        <v>41</v>
      </c>
      <c r="B90" s="15">
        <f>B88*B89</f>
        <v>120000</v>
      </c>
      <c r="C90" s="15">
        <f>C88*C89</f>
        <v>0</v>
      </c>
    </row>
    <row r="91" spans="2:3" ht="12.75">
      <c r="B91" s="29"/>
      <c r="C91" s="45"/>
    </row>
    <row r="92" spans="1:3" ht="12.75">
      <c r="A92" s="36" t="s">
        <v>2</v>
      </c>
      <c r="B92" s="30"/>
      <c r="C92" s="43"/>
    </row>
    <row r="93" spans="1:3" ht="12.75" outlineLevel="1">
      <c r="A93" s="40" t="s">
        <v>68</v>
      </c>
      <c r="B93" s="58">
        <v>100</v>
      </c>
      <c r="C93" s="56">
        <v>0</v>
      </c>
    </row>
    <row r="94" spans="1:3" ht="12.75" outlineLevel="1">
      <c r="A94" s="40" t="s">
        <v>69</v>
      </c>
      <c r="B94" s="57">
        <v>1000</v>
      </c>
      <c r="C94" s="57">
        <v>0</v>
      </c>
    </row>
    <row r="95" spans="1:3" ht="12.75" outlineLevel="1">
      <c r="A95" s="37" t="s">
        <v>102</v>
      </c>
      <c r="B95" s="13">
        <f>B93*B94*0.25</f>
        <v>25000</v>
      </c>
      <c r="C95" s="13">
        <f>C93*C94*0.25</f>
        <v>0</v>
      </c>
    </row>
    <row r="96" spans="1:3" ht="12.75">
      <c r="A96" s="26" t="s">
        <v>67</v>
      </c>
      <c r="B96" s="15">
        <f>B95</f>
        <v>25000</v>
      </c>
      <c r="C96" s="15">
        <f>CostDowntime</f>
        <v>0</v>
      </c>
    </row>
    <row r="97" spans="2:3" ht="12.75">
      <c r="B97" s="29"/>
      <c r="C97" s="45"/>
    </row>
    <row r="98" spans="1:3" ht="12.75">
      <c r="A98" s="36" t="s">
        <v>0</v>
      </c>
      <c r="B98" s="31"/>
      <c r="C98" s="18"/>
    </row>
    <row r="99" spans="1:3" s="7" customFormat="1" ht="12.75" outlineLevel="1">
      <c r="A99" s="37" t="s">
        <v>59</v>
      </c>
      <c r="B99" s="13">
        <v>500000</v>
      </c>
      <c r="C99" s="13">
        <v>0</v>
      </c>
    </row>
    <row r="100" spans="1:3" s="7" customFormat="1" ht="12.75" outlineLevel="1">
      <c r="A100" s="37" t="s">
        <v>94</v>
      </c>
      <c r="B100" s="13">
        <f>IF(ISERROR(B99/Calculations!C3),(""),((B99/Calculations!C3)*12))</f>
      </c>
      <c r="C100" s="13">
        <f>IF(ISERROR(C99/Calculations!C3),(""),((C99/Calculations!C3)*12))</f>
      </c>
    </row>
    <row r="101" spans="1:3" ht="12.75" outlineLevel="1">
      <c r="A101" s="36" t="s">
        <v>95</v>
      </c>
      <c r="B101" s="65">
        <v>40</v>
      </c>
      <c r="C101" s="65">
        <v>0</v>
      </c>
    </row>
    <row r="102" spans="1:3" ht="12.75" outlineLevel="1">
      <c r="A102" s="36" t="s">
        <v>96</v>
      </c>
      <c r="B102" s="65">
        <v>50</v>
      </c>
      <c r="C102" s="65">
        <v>0</v>
      </c>
    </row>
    <row r="103" spans="1:3" ht="12.75" outlineLevel="1">
      <c r="A103" s="26" t="s">
        <v>97</v>
      </c>
      <c r="B103" s="32">
        <f>IF(B101=0,(SUM(#REF!,#REF!)),(B101*B102))</f>
        <v>2000</v>
      </c>
      <c r="C103" s="32">
        <f>IF(C101=0,(0),(CostTape*NoTape))</f>
        <v>0</v>
      </c>
    </row>
    <row r="104" spans="1:3" ht="12.75" outlineLevel="1">
      <c r="A104" s="26" t="s">
        <v>99</v>
      </c>
      <c r="B104" s="32">
        <v>50000</v>
      </c>
      <c r="C104" s="32">
        <v>0</v>
      </c>
    </row>
    <row r="105" spans="1:3" ht="12.75">
      <c r="A105" s="26" t="s">
        <v>54</v>
      </c>
      <c r="B105" s="32">
        <f>SUM(B100,B103,B104)</f>
        <v>52000</v>
      </c>
      <c r="C105" s="32">
        <f>SUM(C100,C103,C104)</f>
        <v>0</v>
      </c>
    </row>
    <row r="106" spans="1:3" ht="12.75">
      <c r="A106" s="37"/>
      <c r="B106" s="37"/>
      <c r="C106" s="37"/>
    </row>
    <row r="107" spans="1:3" ht="12.75">
      <c r="A107" s="36" t="s">
        <v>55</v>
      </c>
      <c r="B107" s="36"/>
      <c r="C107" s="36"/>
    </row>
    <row r="108" spans="1:3" ht="12.75" outlineLevel="1">
      <c r="A108" s="37" t="s">
        <v>56</v>
      </c>
      <c r="B108" s="66">
        <v>500000</v>
      </c>
      <c r="C108" s="32">
        <v>0</v>
      </c>
    </row>
    <row r="109" spans="1:3" ht="12.75" outlineLevel="1">
      <c r="A109" s="37" t="s">
        <v>92</v>
      </c>
      <c r="B109" s="71">
        <f>IF(ISERROR((B108/C3)*12),"",(B108/Calculations!C3)*12)</f>
      </c>
      <c r="C109" s="71">
        <f>IF(ISERROR((C108/C3)*12),"",(C108/C3)*12)</f>
      </c>
    </row>
    <row r="110" spans="1:3" ht="12.75" outlineLevel="1">
      <c r="A110" s="37" t="s">
        <v>57</v>
      </c>
      <c r="B110" s="67">
        <v>0.1</v>
      </c>
      <c r="C110" s="41">
        <v>0</v>
      </c>
    </row>
    <row r="111" spans="1:3" ht="12.75">
      <c r="A111" s="26" t="s">
        <v>58</v>
      </c>
      <c r="B111" s="32">
        <f>IF(ISERROR(B109*B110),"",(B109*B110))</f>
      </c>
      <c r="C111" s="32">
        <f>IF(ISERROR(C109*C110),"",(C109*C110))</f>
      </c>
    </row>
    <row r="112" spans="1:3" ht="12.75">
      <c r="A112" s="37"/>
      <c r="B112" s="37"/>
      <c r="C112" s="37"/>
    </row>
    <row r="113" spans="1:3" ht="12.75" collapsed="1">
      <c r="A113" s="37"/>
      <c r="B113" s="37"/>
      <c r="C113" s="37"/>
    </row>
    <row r="114" spans="1:3" ht="12.75">
      <c r="A114" s="36" t="s">
        <v>36</v>
      </c>
      <c r="B114" s="34">
        <f>SUM(B31,B52,B59,(IF(B77=0,B78,B77),B85,B90,B96,B105,B111))</f>
        <v>4919000</v>
      </c>
      <c r="C114" s="34">
        <f>SUM(C31,C52,C59,(IF(C77=0,C78,C77),C85,C90,C96,C105,C111))</f>
        <v>0</v>
      </c>
    </row>
    <row r="115" spans="1:3" ht="12.75">
      <c r="A115" s="36" t="s">
        <v>87</v>
      </c>
      <c r="B115" s="73">
        <f>IF(ISERROR(B114/B71),"",(B114/B71))</f>
        <v>0.27790960451977403</v>
      </c>
      <c r="C115" s="73">
        <f>IF(ISERROR(C114/C71),"",(C114/C71))</f>
      </c>
    </row>
    <row r="116" ht="12.75"/>
    <row r="117" ht="12.75"/>
    <row r="118" ht="12.75"/>
    <row r="119" ht="12.75" hidden="1"/>
    <row r="120" ht="12.75" hidden="1">
      <c r="B120" s="52"/>
    </row>
    <row r="121" ht="12.75" hidden="1"/>
    <row r="124" ht="12.75"/>
    <row r="125" ht="12.75"/>
  </sheetData>
  <sheetProtection/>
  <conditionalFormatting sqref="C108 C104 C27 C88 C83:C84 C77 C74:C75 C57 C43:C45 C13:C14 C17 C24">
    <cfRule type="cellIs" priority="1" dxfId="0" operator="equal" stopIfTrue="1">
      <formula>0</formula>
    </cfRule>
  </conditionalFormatting>
  <conditionalFormatting sqref="C110 B101:C102 C89 C3">
    <cfRule type="cellIs" priority="2" dxfId="1" operator="equal" stopIfTrue="1">
      <formula>0</formula>
    </cfRule>
  </conditionalFormatting>
  <conditionalFormatting sqref="C37 B78:C78 C85 C35 C31 C16 C50:C51 A105:C105">
    <cfRule type="cellIs" priority="3" dxfId="2" operator="equal" stopIfTrue="1">
      <formula>0</formula>
    </cfRule>
  </conditionalFormatting>
  <conditionalFormatting sqref="C18:C19 C81:C82 C15 C28 C25 C38 C34 C36 C23 C59">
    <cfRule type="cellIs" priority="4" dxfId="3" operator="equal" stopIfTrue="1">
      <formula>0</formula>
    </cfRule>
  </conditionalFormatting>
  <conditionalFormatting sqref="C62:C67">
    <cfRule type="cellIs" priority="5" dxfId="1" operator="equal" stopIfTrue="1">
      <formula>0</formula>
    </cfRule>
  </conditionalFormatting>
  <conditionalFormatting sqref="C20:C21 B30:C30 C29">
    <cfRule type="cellIs" priority="6" dxfId="4" operator="equal" stopIfTrue="1">
      <formula>0</formula>
    </cfRule>
  </conditionalFormatting>
  <conditionalFormatting sqref="C55:C56">
    <cfRule type="cellIs" priority="7" dxfId="3" operator="equal" stopIfTrue="1">
      <formula>0</formula>
    </cfRule>
    <cfRule type="cellIs" priority="8" dxfId="2" operator="notEqual" stopIfTrue="1">
      <formula>0</formula>
    </cfRule>
  </conditionalFormatting>
  <conditionalFormatting sqref="C26 C68:C71 C39 C49">
    <cfRule type="cellIs" priority="9" dxfId="5" operator="equal" stopIfTrue="1">
      <formula>0</formula>
    </cfRule>
  </conditionalFormatting>
  <conditionalFormatting sqref="C93">
    <cfRule type="cellIs" priority="10" dxfId="6" operator="equal" stopIfTrue="1">
      <formula>0</formula>
    </cfRule>
  </conditionalFormatting>
  <printOptions/>
  <pageMargins left="0.75" right="0.75" top="1" bottom="1" header="0.5" footer="0.5"/>
  <pageSetup orientation="portrait" r:id="rId3"/>
  <ignoredErrors>
    <ignoredError sqref="C11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13"/>
  <sheetViews>
    <sheetView workbookViewId="0" topLeftCell="A1">
      <selection activeCell="A31" sqref="A31"/>
    </sheetView>
  </sheetViews>
  <sheetFormatPr defaultColWidth="9.140625" defaultRowHeight="12.75"/>
  <cols>
    <col min="1" max="1" width="14.8515625" style="1" customWidth="1"/>
    <col min="2" max="2" width="25.00390625" style="1" customWidth="1"/>
    <col min="3" max="3" width="22.421875" style="1" bestFit="1" customWidth="1"/>
    <col min="4" max="4" width="18.00390625" style="1" bestFit="1" customWidth="1"/>
    <col min="5" max="5" width="15.8515625" style="1" bestFit="1" customWidth="1"/>
    <col min="6" max="6" width="16.8515625" style="1" bestFit="1" customWidth="1"/>
    <col min="7" max="16384" width="9.140625" style="1" customWidth="1"/>
  </cols>
  <sheetData>
    <row r="1" spans="1:3" ht="12.75">
      <c r="A1" s="46" t="s">
        <v>42</v>
      </c>
      <c r="B1" s="46" t="s">
        <v>43</v>
      </c>
      <c r="C1" s="46" t="s">
        <v>44</v>
      </c>
    </row>
    <row r="2" spans="1:3" ht="12.75">
      <c r="A2" s="47">
        <v>525600</v>
      </c>
      <c r="B2" s="47">
        <v>0.99999</v>
      </c>
      <c r="C2" s="47">
        <v>5.256</v>
      </c>
    </row>
    <row r="3" spans="1:3" ht="12.75">
      <c r="A3" s="47">
        <v>525600</v>
      </c>
      <c r="B3" s="47">
        <v>0.9999</v>
      </c>
      <c r="C3" s="47">
        <v>52.56</v>
      </c>
    </row>
    <row r="5" spans="1:7" ht="12.75">
      <c r="A5" s="2"/>
      <c r="B5" s="2" t="s">
        <v>45</v>
      </c>
      <c r="C5" s="2" t="s">
        <v>43</v>
      </c>
      <c r="D5" s="2" t="s">
        <v>44</v>
      </c>
      <c r="E5" s="2" t="s">
        <v>46</v>
      </c>
      <c r="F5" s="2" t="s">
        <v>47</v>
      </c>
      <c r="G5" s="2" t="s">
        <v>48</v>
      </c>
    </row>
    <row r="6" spans="1:7" ht="12.75">
      <c r="A6" s="2" t="s">
        <v>49</v>
      </c>
      <c r="B6" s="48">
        <v>270840</v>
      </c>
      <c r="C6" s="47">
        <v>0.99999</v>
      </c>
      <c r="D6" s="47">
        <v>5.256</v>
      </c>
      <c r="E6" s="49">
        <v>8760</v>
      </c>
      <c r="F6" s="49">
        <v>91240</v>
      </c>
      <c r="G6" s="50">
        <v>0.3369</v>
      </c>
    </row>
    <row r="7" spans="1:7" ht="12.75">
      <c r="A7" s="2" t="s">
        <v>50</v>
      </c>
      <c r="B7" s="48">
        <v>167240</v>
      </c>
      <c r="C7" s="47">
        <v>0.9999</v>
      </c>
      <c r="D7" s="47">
        <v>52.56</v>
      </c>
      <c r="E7" s="49">
        <v>87600</v>
      </c>
      <c r="F7" s="49">
        <v>12400</v>
      </c>
      <c r="G7" s="50">
        <v>0.0741</v>
      </c>
    </row>
    <row r="10" ht="12.75">
      <c r="C10" s="1" t="s">
        <v>51</v>
      </c>
    </row>
    <row r="11" ht="12.75">
      <c r="C11" s="1" t="s">
        <v>52</v>
      </c>
    </row>
    <row r="12" spans="2:3" ht="12.75">
      <c r="B12" s="1" t="s">
        <v>53</v>
      </c>
      <c r="C12" s="51">
        <f>100*1000</f>
        <v>100000</v>
      </c>
    </row>
    <row r="13" ht="12.75">
      <c r="B13" s="51">
        <f>C12*(15/60)</f>
        <v>25000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Williams</dc:creator>
  <cp:keywords/>
  <dc:description/>
  <cp:lastModifiedBy>GMunroe</cp:lastModifiedBy>
  <cp:lastPrinted>2004-07-12T15:12:05Z</cp:lastPrinted>
  <dcterms:created xsi:type="dcterms:W3CDTF">2004-02-23T22:10:51Z</dcterms:created>
  <dcterms:modified xsi:type="dcterms:W3CDTF">2004-09-30T19:48:41Z</dcterms:modified>
  <cp:category/>
  <cp:version/>
  <cp:contentType/>
  <cp:contentStatus/>
</cp:coreProperties>
</file>